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0" windowWidth="9555" windowHeight="6900"/>
  </bookViews>
  <sheets>
    <sheet name="Main" sheetId="1" r:id="rId1"/>
    <sheet name="AddDrop 1" sheetId="3" r:id="rId2"/>
  </sheets>
  <calcPr calcId="145621"/>
</workbook>
</file>

<file path=xl/calcChain.xml><?xml version="1.0" encoding="utf-8"?>
<calcChain xmlns="http://schemas.openxmlformats.org/spreadsheetml/2006/main">
  <c r="R23" i="1" l="1"/>
  <c r="R20" i="1"/>
  <c r="R17" i="1"/>
  <c r="R11" i="1"/>
  <c r="R10" i="1"/>
  <c r="R8" i="1"/>
  <c r="Q8" i="1"/>
  <c r="M37" i="1"/>
  <c r="M36" i="1"/>
  <c r="M35" i="1"/>
  <c r="M34" i="1"/>
  <c r="M32" i="1"/>
  <c r="M31" i="1"/>
  <c r="M24" i="1"/>
  <c r="M23" i="1"/>
  <c r="M21" i="1"/>
  <c r="M20" i="1"/>
  <c r="M19" i="1"/>
  <c r="M12" i="1"/>
  <c r="M9" i="1"/>
  <c r="M8" i="1"/>
  <c r="M7" i="1"/>
  <c r="M5" i="1"/>
  <c r="M4" i="1"/>
  <c r="M3" i="1"/>
  <c r="H38" i="1"/>
  <c r="H36" i="1"/>
  <c r="H33" i="1"/>
  <c r="H32" i="1"/>
  <c r="H31" i="1"/>
  <c r="H19" i="1"/>
  <c r="H18" i="1"/>
  <c r="H8" i="1"/>
  <c r="H7" i="1"/>
  <c r="H6" i="1"/>
  <c r="H4" i="1"/>
  <c r="C38" i="1"/>
  <c r="C37" i="1"/>
  <c r="C36" i="1"/>
  <c r="C35" i="1"/>
  <c r="C33" i="1"/>
  <c r="C32" i="1"/>
  <c r="C31" i="1"/>
  <c r="C26" i="1"/>
  <c r="C18" i="1"/>
  <c r="C17" i="1"/>
  <c r="C12" i="1"/>
  <c r="C11" i="1"/>
  <c r="C4" i="1"/>
  <c r="C3" i="1"/>
  <c r="B3" i="1"/>
  <c r="Q24" i="1" l="1"/>
  <c r="Q23" i="1"/>
  <c r="Q26" i="1"/>
  <c r="Q22" i="1"/>
  <c r="Q19" i="1"/>
  <c r="Q18" i="1"/>
  <c r="Q11" i="1"/>
  <c r="Q10" i="1"/>
  <c r="Q9" i="1"/>
  <c r="Q5" i="1"/>
  <c r="Q3" i="1"/>
  <c r="L40" i="1"/>
  <c r="L39" i="1"/>
  <c r="L38" i="1"/>
  <c r="L37" i="1"/>
  <c r="L35" i="1"/>
  <c r="L33" i="1"/>
  <c r="L31" i="1"/>
  <c r="L23" i="1"/>
  <c r="L20" i="1"/>
  <c r="L19" i="1"/>
  <c r="L12" i="1"/>
  <c r="L11" i="1"/>
  <c r="L10" i="1"/>
  <c r="L8" i="1"/>
  <c r="L5" i="1"/>
  <c r="L3" i="1"/>
  <c r="G39" i="1"/>
  <c r="G38" i="1"/>
  <c r="G36" i="1"/>
  <c r="G35" i="1"/>
  <c r="G34" i="1"/>
  <c r="G32" i="1"/>
  <c r="G26" i="1"/>
  <c r="G24" i="1"/>
  <c r="G22" i="1"/>
  <c r="G21" i="1"/>
  <c r="G20" i="1"/>
  <c r="G17" i="1"/>
  <c r="G12" i="1"/>
  <c r="G10" i="1"/>
  <c r="G9" i="1"/>
  <c r="G8" i="1"/>
  <c r="G7" i="1"/>
  <c r="G4" i="1"/>
  <c r="G3" i="1"/>
  <c r="B39" i="1"/>
  <c r="B37" i="1"/>
  <c r="B36" i="1"/>
  <c r="B35" i="1"/>
  <c r="B34" i="1"/>
  <c r="B32" i="1"/>
  <c r="B31" i="1"/>
  <c r="B25" i="1"/>
  <c r="B24" i="1"/>
  <c r="B23" i="1"/>
  <c r="B19" i="1"/>
  <c r="B18" i="1"/>
  <c r="B17" i="1"/>
  <c r="B12" i="1"/>
  <c r="B9" i="1"/>
  <c r="B7" i="1"/>
  <c r="B6" i="1"/>
  <c r="B5" i="1"/>
  <c r="B4" i="1"/>
  <c r="Q21" i="1" l="1"/>
  <c r="Q6" i="1"/>
  <c r="L34" i="1"/>
  <c r="L36" i="1"/>
  <c r="L21" i="1"/>
  <c r="L26" i="1"/>
  <c r="L22" i="1"/>
  <c r="L9" i="1"/>
  <c r="L7" i="1"/>
  <c r="L6" i="1"/>
  <c r="G33" i="1"/>
  <c r="G25" i="1"/>
  <c r="G23" i="1"/>
  <c r="G19" i="1"/>
  <c r="G11" i="1"/>
  <c r="B33" i="1"/>
  <c r="B38" i="1"/>
  <c r="B22" i="1"/>
  <c r="B21" i="1"/>
  <c r="B8" i="1"/>
  <c r="Q25" i="1" l="1"/>
  <c r="Q20" i="1"/>
  <c r="Q4" i="1"/>
  <c r="L24" i="1"/>
  <c r="L4" i="1"/>
  <c r="G37" i="1"/>
  <c r="G31" i="1"/>
  <c r="G18" i="1"/>
  <c r="G6" i="1"/>
  <c r="G5" i="1"/>
  <c r="B26" i="1"/>
  <c r="B20" i="1"/>
  <c r="Q12" i="1"/>
  <c r="Q7" i="1"/>
  <c r="L25" i="1"/>
  <c r="L18" i="1"/>
  <c r="B40" i="1"/>
  <c r="B11" i="1"/>
  <c r="B10" i="1"/>
  <c r="L32" i="1" l="1"/>
  <c r="G40" i="1" l="1"/>
  <c r="Q17" i="1" l="1"/>
  <c r="L17" i="1"/>
  <c r="G13" i="1" l="1"/>
  <c r="L41" i="1" l="1"/>
  <c r="M41" i="1"/>
  <c r="N41" i="1" l="1"/>
  <c r="B13" i="1" l="1"/>
  <c r="R27" i="1"/>
  <c r="R13" i="1"/>
  <c r="C41" i="1" l="1"/>
  <c r="Q27" i="1"/>
  <c r="S27" i="1" s="1"/>
  <c r="C27" i="1"/>
  <c r="H41" i="1"/>
  <c r="H13" i="1"/>
  <c r="M13" i="1"/>
  <c r="H27" i="1"/>
  <c r="M27" i="1"/>
  <c r="Q13" i="1"/>
  <c r="S13" i="1" s="1"/>
  <c r="L27" i="1"/>
  <c r="L13" i="1"/>
  <c r="G41" i="1"/>
  <c r="G27" i="1"/>
  <c r="B41" i="1"/>
  <c r="B27" i="1"/>
  <c r="N27" i="1" l="1"/>
  <c r="D41" i="1"/>
  <c r="D27" i="1"/>
  <c r="I13" i="1"/>
  <c r="I41" i="1"/>
  <c r="N13" i="1"/>
  <c r="I27" i="1"/>
  <c r="C13" i="1" l="1"/>
  <c r="D13" i="1" s="1"/>
</calcChain>
</file>

<file path=xl/sharedStrings.xml><?xml version="1.0" encoding="utf-8"?>
<sst xmlns="http://schemas.openxmlformats.org/spreadsheetml/2006/main" count="212" uniqueCount="151">
  <si>
    <t>Player</t>
  </si>
  <si>
    <t>Front</t>
  </si>
  <si>
    <t xml:space="preserve">Back </t>
  </si>
  <si>
    <t>Total for Player</t>
  </si>
  <si>
    <t xml:space="preserve">                                   MARC SUMMERS</t>
  </si>
  <si>
    <t>Front/Back/Overall</t>
  </si>
  <si>
    <t xml:space="preserve">                                   ALEX WEBSTER</t>
  </si>
  <si>
    <t xml:space="preserve">                                   SCOTT LINDSEY</t>
  </si>
  <si>
    <t xml:space="preserve">                                     JOE HOOVER</t>
  </si>
  <si>
    <t xml:space="preserve">                                   DAN WEBSTER</t>
  </si>
  <si>
    <t xml:space="preserve">                                            PAT CASEY</t>
  </si>
  <si>
    <t xml:space="preserve">                                   ERIC ZATKIN</t>
  </si>
  <si>
    <t xml:space="preserve">                                   MIKE CARRICO</t>
  </si>
  <si>
    <t xml:space="preserve">                                   TREVOR FAUST</t>
  </si>
  <si>
    <t>Justin Rose</t>
  </si>
  <si>
    <t>Webb Simpson</t>
  </si>
  <si>
    <t>Adam Scott</t>
  </si>
  <si>
    <t>Aaron Baddeley</t>
  </si>
  <si>
    <t>Geoff Ogilvy</t>
  </si>
  <si>
    <t>Brandt Snedeker</t>
  </si>
  <si>
    <t>Zach Johnson</t>
  </si>
  <si>
    <t>Robert Garrigus</t>
  </si>
  <si>
    <t>Martin Laird</t>
  </si>
  <si>
    <t>Ben Crane</t>
  </si>
  <si>
    <t>Brian Davis</t>
  </si>
  <si>
    <t>Luke Donald</t>
  </si>
  <si>
    <t>Phil Mickelson</t>
  </si>
  <si>
    <t>Bill Haas</t>
  </si>
  <si>
    <t>Ian Poulter</t>
  </si>
  <si>
    <t>Lucas Glover</t>
  </si>
  <si>
    <t>Matt Kuchar</t>
  </si>
  <si>
    <t>Nick Watney</t>
  </si>
  <si>
    <t>Sergio Garcia</t>
  </si>
  <si>
    <t>Scott Stallings</t>
  </si>
  <si>
    <t>Harris English</t>
  </si>
  <si>
    <t>Kevin Chappel</t>
  </si>
  <si>
    <t>Bubba Watson</t>
  </si>
  <si>
    <t>Hunter Mahan</t>
  </si>
  <si>
    <t>Charl Schwartzel</t>
  </si>
  <si>
    <t>Seung-Yul Noh</t>
  </si>
  <si>
    <t>Jon Senden</t>
  </si>
  <si>
    <t>Gary Woodland</t>
  </si>
  <si>
    <t>Ryan Palmer</t>
  </si>
  <si>
    <t>Keegan Bradley</t>
  </si>
  <si>
    <t>Steve Stricker</t>
  </si>
  <si>
    <t>Jim Furyk</t>
  </si>
  <si>
    <t>Tim Clark</t>
  </si>
  <si>
    <t>Jeff Overton</t>
  </si>
  <si>
    <t>Bud Cauley</t>
  </si>
  <si>
    <t>John Rollins</t>
  </si>
  <si>
    <t>Matt Every</t>
  </si>
  <si>
    <t>Cameron Tringale</t>
  </si>
  <si>
    <t>Dustin Johnson</t>
  </si>
  <si>
    <t>Graehm McDowell</t>
  </si>
  <si>
    <t>Ryan Moore</t>
  </si>
  <si>
    <t>Chris Kirk</t>
  </si>
  <si>
    <t>Brendan Steele</t>
  </si>
  <si>
    <t>KJ Choi</t>
  </si>
  <si>
    <t>Jason Day</t>
  </si>
  <si>
    <t>Charles Howell 3</t>
  </si>
  <si>
    <t>Carl Petterson</t>
  </si>
  <si>
    <t>Rickie Fowler</t>
  </si>
  <si>
    <t>Kevin Stadler</t>
  </si>
  <si>
    <t>Charley Hoffman</t>
  </si>
  <si>
    <t>Rory McIlroy</t>
  </si>
  <si>
    <t>Louis Oosthuizen</t>
  </si>
  <si>
    <t>Ernie Els</t>
  </si>
  <si>
    <t>Johnson Wagner</t>
  </si>
  <si>
    <t>Marc Leishman</t>
  </si>
  <si>
    <t>Jimmy Walker</t>
  </si>
  <si>
    <t>DA Points</t>
  </si>
  <si>
    <t>Brian Gay</t>
  </si>
  <si>
    <t>Brian Stuard</t>
  </si>
  <si>
    <t>Michael Thompson</t>
  </si>
  <si>
    <t>Billy Horschel</t>
  </si>
  <si>
    <t xml:space="preserve">                                   PAUL ROBAK</t>
  </si>
  <si>
    <t xml:space="preserve">                                   BILL DEROCHER</t>
  </si>
  <si>
    <t>Morgan Hoffman</t>
  </si>
  <si>
    <t>Jordan Spieth</t>
  </si>
  <si>
    <t>Kevin Streelman</t>
  </si>
  <si>
    <t>Stewart Cink</t>
  </si>
  <si>
    <t>Justin Leonard</t>
  </si>
  <si>
    <t>Jason Dufner</t>
  </si>
  <si>
    <t>Graham DeLaet</t>
  </si>
  <si>
    <t>Hideki Matsuyama</t>
  </si>
  <si>
    <t>John Peterson</t>
  </si>
  <si>
    <t>Chesson Hadley</t>
  </si>
  <si>
    <t>Chris Stroud</t>
  </si>
  <si>
    <t>Jeff Maggert</t>
  </si>
  <si>
    <t>Daniel Summerhays</t>
  </si>
  <si>
    <t>Jason Bohn</t>
  </si>
  <si>
    <t>Pat Perez</t>
  </si>
  <si>
    <t>Sang Moon Bae</t>
  </si>
  <si>
    <t>Russel Henley</t>
  </si>
  <si>
    <t>Matt Jones</t>
  </si>
  <si>
    <t>Roberto Castro</t>
  </si>
  <si>
    <t>John Merrick</t>
  </si>
  <si>
    <t>David Lynn</t>
  </si>
  <si>
    <t>Boo Weekley</t>
  </si>
  <si>
    <t>Angel Cabrera</t>
  </si>
  <si>
    <t>Brendan De Jonge</t>
  </si>
  <si>
    <t xml:space="preserve">Lee Westwood </t>
  </si>
  <si>
    <t>Rory Sabbatini</t>
  </si>
  <si>
    <t>Camillo Villegas</t>
  </si>
  <si>
    <t>Henrik Stenson</t>
  </si>
  <si>
    <t>Patrick Reed</t>
  </si>
  <si>
    <t>Jason Kokrak</t>
  </si>
  <si>
    <t>James Hahn</t>
  </si>
  <si>
    <t>Jonas Blixt</t>
  </si>
  <si>
    <t>David Lingmerth</t>
  </si>
  <si>
    <t>John Huh</t>
  </si>
  <si>
    <t>Martin Kaymer</t>
  </si>
  <si>
    <t>Victor Dubuisson</t>
  </si>
  <si>
    <t>Brian Harman</t>
  </si>
  <si>
    <t>Bryce Molder</t>
  </si>
  <si>
    <t>Ryo Ishikawa</t>
  </si>
  <si>
    <t>Brenden Todd</t>
  </si>
  <si>
    <t>Will MacKenzie</t>
  </si>
  <si>
    <t>Stuart Appleby</t>
  </si>
  <si>
    <t>Charlie Beljan</t>
  </si>
  <si>
    <t>Kevin Na</t>
  </si>
  <si>
    <t>G Fdez-Castano</t>
  </si>
  <si>
    <t>Matteo Manassero</t>
  </si>
  <si>
    <t>Ken Duke</t>
  </si>
  <si>
    <t>Thomas Bjorn</t>
  </si>
  <si>
    <t>Miguel Jiminez</t>
  </si>
  <si>
    <t>1. Summers</t>
  </si>
  <si>
    <t>2. Carrico</t>
  </si>
  <si>
    <t>3. Casey</t>
  </si>
  <si>
    <t>4. Buck</t>
  </si>
  <si>
    <t>5. Robak</t>
  </si>
  <si>
    <t>6. Trevor</t>
  </si>
  <si>
    <t>7. Hoover</t>
  </si>
  <si>
    <t>8. Alex</t>
  </si>
  <si>
    <t>9. Silverback</t>
  </si>
  <si>
    <t>10. Zatty</t>
  </si>
  <si>
    <t>11. Billy</t>
  </si>
  <si>
    <t>BACK</t>
  </si>
  <si>
    <t>OVERALL</t>
  </si>
  <si>
    <t>FRONT - Final</t>
  </si>
  <si>
    <t>Robak</t>
  </si>
  <si>
    <t>Summers</t>
  </si>
  <si>
    <t>Alex</t>
  </si>
  <si>
    <t>Billy</t>
  </si>
  <si>
    <t>Carrico</t>
  </si>
  <si>
    <t>Pat</t>
  </si>
  <si>
    <t>Trevor</t>
  </si>
  <si>
    <t>Zatty</t>
  </si>
  <si>
    <t>Silverback</t>
  </si>
  <si>
    <t>Buck</t>
  </si>
  <si>
    <t>Hoover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</si>
</sst>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;[Red]&quot;$&quot;#,##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Britannic Bold"/>
      <family val="2"/>
    </font>
    <font>
      <sz val="10"/>
      <color theme="1"/>
      <name val="Aharoni"/>
      <charset val="177"/>
    </font>
    <font>
      <sz val="10"/>
      <color theme="1"/>
      <name val="Arial"/>
      <family val="2"/>
    </font>
    <font>
      <sz val="10"/>
      <color theme="0"/>
      <name val="Britannic Bold"/>
      <family val="2"/>
    </font>
    <font>
      <i/>
      <sz val="10"/>
      <color theme="0"/>
      <name val="Arial"/>
      <family val="2"/>
    </font>
    <font>
      <sz val="10"/>
      <color theme="1"/>
      <name val="Lucida Calligraphy"/>
      <family val="4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0" fillId="3" borderId="1" applyNumberFormat="0" applyFont="0" applyAlignment="0" applyProtection="0"/>
  </cellStyleXfs>
  <cellXfs count="18">
    <xf numFmtId="0" fontId="0" fillId="0" borderId="0" xfId="0"/>
    <xf numFmtId="164" fontId="1" fillId="0" borderId="0" xfId="0" applyNumberFormat="1" applyFont="1" applyAlignment="1">
      <alignment vertical="distributed"/>
    </xf>
    <xf numFmtId="164" fontId="2" fillId="0" borderId="0" xfId="0" applyNumberFormat="1" applyFont="1" applyAlignment="1">
      <alignment vertical="distributed"/>
    </xf>
    <xf numFmtId="0" fontId="1" fillId="0" borderId="0" xfId="0" applyFont="1" applyAlignment="1">
      <alignment vertical="distributed"/>
    </xf>
    <xf numFmtId="0" fontId="1" fillId="0" borderId="0" xfId="0" applyFont="1"/>
    <xf numFmtId="0" fontId="4" fillId="0" borderId="0" xfId="0" applyFont="1"/>
    <xf numFmtId="164" fontId="5" fillId="0" borderId="0" xfId="0" applyNumberFormat="1" applyFont="1"/>
    <xf numFmtId="0" fontId="6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/>
    </xf>
    <xf numFmtId="164" fontId="5" fillId="0" borderId="1" xfId="1" applyNumberFormat="1" applyFont="1" applyFill="1"/>
    <xf numFmtId="164" fontId="8" fillId="0" borderId="0" xfId="0" applyNumberFormat="1" applyFont="1" applyFill="1"/>
    <xf numFmtId="0" fontId="11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zoomScaleNormal="100" workbookViewId="0">
      <selection activeCell="R41" sqref="R41"/>
    </sheetView>
  </sheetViews>
  <sheetFormatPr defaultColWidth="18" defaultRowHeight="12.75" x14ac:dyDescent="0.2"/>
  <cols>
    <col min="1" max="1" width="20.28515625" style="4" customWidth="1"/>
    <col min="2" max="2" width="11.7109375" style="4" bestFit="1" customWidth="1"/>
    <col min="3" max="3" width="11.7109375" style="4" customWidth="1"/>
    <col min="4" max="4" width="15.42578125" style="4" customWidth="1"/>
    <col min="5" max="5" width="8.28515625" style="4" customWidth="1"/>
    <col min="6" max="6" width="21.140625" style="4" customWidth="1"/>
    <col min="7" max="7" width="12.140625" style="4" bestFit="1" customWidth="1"/>
    <col min="8" max="8" width="11.7109375" style="4" customWidth="1"/>
    <col min="9" max="9" width="15.42578125" style="4" customWidth="1"/>
    <col min="10" max="10" width="6.85546875" style="4" customWidth="1"/>
    <col min="11" max="11" width="19.85546875" style="4" customWidth="1"/>
    <col min="12" max="12" width="10.140625" style="4" customWidth="1"/>
    <col min="13" max="13" width="11.7109375" style="4" customWidth="1"/>
    <col min="14" max="14" width="15.42578125" style="4" customWidth="1"/>
    <col min="15" max="15" width="8.42578125" style="4" customWidth="1"/>
    <col min="16" max="16" width="21.5703125" style="4" customWidth="1"/>
    <col min="17" max="17" width="13.85546875" style="4" bestFit="1" customWidth="1"/>
    <col min="18" max="18" width="11.7109375" style="4" customWidth="1"/>
    <col min="19" max="19" width="15.42578125" style="4" customWidth="1"/>
    <col min="20" max="16384" width="18" style="4"/>
  </cols>
  <sheetData>
    <row r="1" spans="1:19" s="5" customFormat="1" x14ac:dyDescent="0.2">
      <c r="A1" s="16" t="s">
        <v>13</v>
      </c>
      <c r="B1" s="17"/>
      <c r="C1" s="17"/>
      <c r="D1" s="17"/>
      <c r="F1" s="16" t="s">
        <v>12</v>
      </c>
      <c r="G1" s="17"/>
      <c r="H1" s="17"/>
      <c r="I1" s="17"/>
      <c r="K1" s="16" t="s">
        <v>75</v>
      </c>
      <c r="L1" s="17"/>
      <c r="M1" s="17"/>
      <c r="N1" s="17"/>
      <c r="P1" s="16" t="s">
        <v>11</v>
      </c>
      <c r="Q1" s="17"/>
      <c r="R1" s="17"/>
      <c r="S1" s="17"/>
    </row>
    <row r="2" spans="1:19" s="12" customFormat="1" x14ac:dyDescent="0.2">
      <c r="A2" s="12" t="s">
        <v>0</v>
      </c>
      <c r="B2" s="12" t="s">
        <v>1</v>
      </c>
      <c r="C2" s="12" t="s">
        <v>2</v>
      </c>
      <c r="D2" s="12" t="s">
        <v>3</v>
      </c>
      <c r="F2" s="12" t="s">
        <v>0</v>
      </c>
      <c r="G2" s="12" t="s">
        <v>1</v>
      </c>
      <c r="H2" s="12" t="s">
        <v>2</v>
      </c>
      <c r="I2" s="12" t="s">
        <v>3</v>
      </c>
      <c r="K2" s="12" t="s">
        <v>0</v>
      </c>
      <c r="L2" s="12" t="s">
        <v>1</v>
      </c>
      <c r="M2" s="12" t="s">
        <v>2</v>
      </c>
      <c r="N2" s="12" t="s">
        <v>3</v>
      </c>
      <c r="P2" s="12" t="s">
        <v>0</v>
      </c>
      <c r="Q2" s="12" t="s">
        <v>1</v>
      </c>
      <c r="R2" s="12" t="s">
        <v>2</v>
      </c>
      <c r="S2" s="12" t="s">
        <v>3</v>
      </c>
    </row>
    <row r="3" spans="1:19" ht="13.5" x14ac:dyDescent="0.25">
      <c r="A3" s="11" t="s">
        <v>17</v>
      </c>
      <c r="B3" s="6">
        <f>11712+15773+14784+97150+28636+12710</f>
        <v>180765</v>
      </c>
      <c r="C3" s="6">
        <f>43944</f>
        <v>43944</v>
      </c>
      <c r="D3" s="6"/>
      <c r="F3" s="11" t="s">
        <v>36</v>
      </c>
      <c r="G3" s="6">
        <f>54290+545600+1206000+148000+753000+1620000+24073</f>
        <v>4350963</v>
      </c>
      <c r="H3" s="6"/>
      <c r="I3" s="6"/>
      <c r="K3" s="11" t="s">
        <v>19</v>
      </c>
      <c r="L3" s="6">
        <f>0+13206+99000+59000+12426+186000+40500+11078+24073</f>
        <v>445283</v>
      </c>
      <c r="M3" s="6">
        <f>0</f>
        <v>0</v>
      </c>
      <c r="N3" s="6"/>
      <c r="P3" s="11" t="s">
        <v>74</v>
      </c>
      <c r="Q3" s="6">
        <f>54290+99000+54500+18476+40500+11716+69500</f>
        <v>347982</v>
      </c>
      <c r="R3" s="6"/>
      <c r="S3" s="6"/>
    </row>
    <row r="4" spans="1:19" ht="13.5" x14ac:dyDescent="0.25">
      <c r="A4" s="11" t="s">
        <v>56</v>
      </c>
      <c r="B4" s="6">
        <f>38023+207700+174200+30375+67167+15477+40106+69500</f>
        <v>642548</v>
      </c>
      <c r="C4" s="6">
        <f>0</f>
        <v>0</v>
      </c>
      <c r="D4" s="6"/>
      <c r="F4" s="11" t="s">
        <v>119</v>
      </c>
      <c r="G4" s="6">
        <f>102300+12462+48000+18476+12462+24073</f>
        <v>217773</v>
      </c>
      <c r="H4" s="6">
        <f>146280</f>
        <v>146280</v>
      </c>
      <c r="I4" s="6"/>
      <c r="K4" s="11" t="s">
        <v>116</v>
      </c>
      <c r="L4" s="6">
        <f>0+15892+200725+18374+23200</f>
        <v>258191</v>
      </c>
      <c r="M4" s="6">
        <f>1242000</f>
        <v>1242000</v>
      </c>
      <c r="N4" s="6"/>
      <c r="P4" s="11" t="s">
        <v>103</v>
      </c>
      <c r="Q4" s="6">
        <f>11346+27900+22200+67167+11470+18374+43790</f>
        <v>202247</v>
      </c>
      <c r="R4" s="6"/>
      <c r="S4" s="6"/>
    </row>
    <row r="5" spans="1:19" ht="13.5" x14ac:dyDescent="0.25">
      <c r="A5" s="11" t="s">
        <v>55</v>
      </c>
      <c r="B5" s="6">
        <f>11656+14256+48000+94800+63500+13454+13312+101160+43790+40106+187500</f>
        <v>631534</v>
      </c>
      <c r="C5" s="6"/>
      <c r="D5" s="6"/>
      <c r="F5" s="11" t="s">
        <v>86</v>
      </c>
      <c r="G5" s="6">
        <f>0+165000+45400+630000+94050+45880+13826+23200</f>
        <v>1017356</v>
      </c>
      <c r="H5" s="6"/>
      <c r="I5" s="6"/>
      <c r="K5" s="11" t="s">
        <v>24</v>
      </c>
      <c r="L5" s="6">
        <f>27900+116600+67167+15934+11078+14904+240000</f>
        <v>493583</v>
      </c>
      <c r="M5" s="6">
        <f>15180</f>
        <v>15180</v>
      </c>
      <c r="N5" s="6"/>
      <c r="P5" s="11" t="s">
        <v>101</v>
      </c>
      <c r="Q5" s="6">
        <f>15479+80847+48000+15600+68500+99200+301500+313000</f>
        <v>942126</v>
      </c>
      <c r="R5" s="6"/>
      <c r="S5" s="6"/>
    </row>
    <row r="6" spans="1:19" ht="13.5" x14ac:dyDescent="0.25">
      <c r="A6" s="11" t="s">
        <v>66</v>
      </c>
      <c r="B6" s="6">
        <f>33031+510000+52500+18374+10000+12238+20861+19400</f>
        <v>676404</v>
      </c>
      <c r="C6" s="6"/>
      <c r="D6" s="6"/>
      <c r="F6" s="11" t="s">
        <v>34</v>
      </c>
      <c r="G6" s="6">
        <f>179800+174200+148000+90667+23940+102300+10000+34469</f>
        <v>763376</v>
      </c>
      <c r="H6" s="6">
        <f>0</f>
        <v>0</v>
      </c>
      <c r="I6" s="6"/>
      <c r="K6" s="11" t="s">
        <v>51</v>
      </c>
      <c r="L6" s="6">
        <f>12627+130200+116600+127300+22200+42587+14012+15934+307200+14904+98600</f>
        <v>902164</v>
      </c>
      <c r="M6" s="6"/>
      <c r="N6" s="6"/>
      <c r="P6" s="11" t="s">
        <v>29</v>
      </c>
      <c r="Q6" s="6">
        <f>0+102300+34200+14416</f>
        <v>150916</v>
      </c>
      <c r="R6" s="6"/>
      <c r="S6" s="6"/>
    </row>
    <row r="7" spans="1:19" ht="13.5" x14ac:dyDescent="0.25">
      <c r="A7" s="14" t="s">
        <v>121</v>
      </c>
      <c r="B7" s="6">
        <f>26840+29139+13053+12462+22320+50651+66600+13326+38000</f>
        <v>272391</v>
      </c>
      <c r="C7" s="6"/>
      <c r="D7" s="6"/>
      <c r="F7" s="11" t="s">
        <v>110</v>
      </c>
      <c r="G7" s="6">
        <f>0+33031+28160+10000+336400+19400</f>
        <v>426991</v>
      </c>
      <c r="H7" s="6">
        <f>100050</f>
        <v>100050</v>
      </c>
      <c r="I7" s="6"/>
      <c r="K7" s="11" t="s">
        <v>70</v>
      </c>
      <c r="L7" s="6">
        <f>13176+13020+47000+10000+15477</f>
        <v>98673</v>
      </c>
      <c r="M7" s="6">
        <f>0</f>
        <v>0</v>
      </c>
      <c r="N7" s="6"/>
      <c r="P7" s="11" t="s">
        <v>122</v>
      </c>
      <c r="Q7" s="6">
        <f>45880+10000</f>
        <v>55880</v>
      </c>
      <c r="R7" s="6"/>
      <c r="S7" s="6"/>
    </row>
    <row r="8" spans="1:19" ht="13.5" x14ac:dyDescent="0.25">
      <c r="A8" s="11" t="s">
        <v>37</v>
      </c>
      <c r="B8" s="6">
        <f>15479+272800+237600+15467+148000+151250+37952+66600+1643</f>
        <v>946791</v>
      </c>
      <c r="C8" s="6"/>
      <c r="D8" s="6"/>
      <c r="F8" s="11" t="s">
        <v>40</v>
      </c>
      <c r="G8" s="6">
        <f>0+97150+15600+1026000+14539+22320+234000+44200+69500</f>
        <v>1523309</v>
      </c>
      <c r="H8" s="6">
        <f>146280</f>
        <v>146280</v>
      </c>
      <c r="I8" s="6"/>
      <c r="K8" s="11" t="s">
        <v>69</v>
      </c>
      <c r="L8" s="6">
        <f>0+1188000+80847+99000+76000+78740+50651+234000+313000</f>
        <v>2120238</v>
      </c>
      <c r="M8" s="6">
        <f>30403</f>
        <v>30403</v>
      </c>
      <c r="N8" s="6"/>
      <c r="P8" s="11" t="s">
        <v>21</v>
      </c>
      <c r="Q8" s="6">
        <f>38023+14285+46860+57955+235600+13760+11368+248200</f>
        <v>666051</v>
      </c>
      <c r="R8" s="13">
        <f>43944</f>
        <v>43944</v>
      </c>
      <c r="S8" s="6"/>
    </row>
    <row r="9" spans="1:19" ht="13.5" x14ac:dyDescent="0.25">
      <c r="A9" s="11" t="s">
        <v>28</v>
      </c>
      <c r="B9" s="6">
        <f>0+14539+48000+52500+67167+101160+20800</f>
        <v>304166</v>
      </c>
      <c r="C9" s="6"/>
      <c r="D9" s="6"/>
      <c r="F9" s="11" t="s">
        <v>108</v>
      </c>
      <c r="G9" s="6">
        <f>0+33480+99000+90667+792000+18900</f>
        <v>1034047</v>
      </c>
      <c r="H9" s="6"/>
      <c r="I9" s="6"/>
      <c r="K9" s="11" t="s">
        <v>123</v>
      </c>
      <c r="L9" s="6">
        <f>0+30375+42587+28572+10000+15335+12648</f>
        <v>139517</v>
      </c>
      <c r="M9" s="6">
        <f>15663</f>
        <v>15663</v>
      </c>
      <c r="N9" s="6"/>
      <c r="P9" s="11" t="s">
        <v>64</v>
      </c>
      <c r="Q9" s="6">
        <f>0+99000+448000+76000+186240+234000+200100+313000</f>
        <v>1556340</v>
      </c>
      <c r="R9" s="6"/>
      <c r="S9" s="6"/>
    </row>
    <row r="10" spans="1:19" ht="13.5" x14ac:dyDescent="0.25">
      <c r="A10" s="11" t="s">
        <v>58</v>
      </c>
      <c r="B10" s="6">
        <f>366000+13200+1530000+101160</f>
        <v>2010360</v>
      </c>
      <c r="C10" s="6"/>
      <c r="D10" s="6"/>
      <c r="F10" s="11" t="s">
        <v>120</v>
      </c>
      <c r="G10" s="6">
        <f>0+15600+89976+38000</f>
        <v>143576</v>
      </c>
      <c r="H10" s="6"/>
      <c r="I10" s="6"/>
      <c r="K10" s="11" t="s">
        <v>94</v>
      </c>
      <c r="L10" s="6">
        <f>20740+130200+18499+14539+102300+1152000+10000+135333</f>
        <v>1583611</v>
      </c>
      <c r="M10" s="6"/>
      <c r="N10" s="6"/>
      <c r="P10" s="11" t="s">
        <v>102</v>
      </c>
      <c r="Q10" s="6">
        <f>54290+13200+30375+11229+156600+200100+98600+38000</f>
        <v>602394</v>
      </c>
      <c r="R10" s="6">
        <f>22770</f>
        <v>22770</v>
      </c>
      <c r="S10" s="6"/>
    </row>
    <row r="11" spans="1:19" ht="13.5" x14ac:dyDescent="0.25">
      <c r="A11" s="11" t="s">
        <v>65</v>
      </c>
      <c r="B11" s="6">
        <f>0+280000+63500+79200</f>
        <v>422700</v>
      </c>
      <c r="C11" s="6">
        <f>146280</f>
        <v>146280</v>
      </c>
      <c r="D11" s="6"/>
      <c r="F11" s="11" t="s">
        <v>26</v>
      </c>
      <c r="G11" s="6">
        <f>21080+71775+90667+125440+10000+158700</f>
        <v>477662</v>
      </c>
      <c r="H11" s="6"/>
      <c r="I11" s="6"/>
      <c r="K11" s="11" t="s">
        <v>93</v>
      </c>
      <c r="L11" s="6">
        <f>0+15477+1080000+57000+186240+55800+135333</f>
        <v>1529850</v>
      </c>
      <c r="M11" s="6"/>
      <c r="N11" s="6"/>
      <c r="P11" s="11" t="s">
        <v>54</v>
      </c>
      <c r="Q11" s="6">
        <f>207700+99000+76000+13454+10000+89976+69500</f>
        <v>565630</v>
      </c>
      <c r="R11" s="6">
        <f>0</f>
        <v>0</v>
      </c>
      <c r="S11" s="6"/>
    </row>
    <row r="12" spans="1:19" ht="13.5" x14ac:dyDescent="0.25">
      <c r="A12" s="11" t="s">
        <v>77</v>
      </c>
      <c r="B12" s="6">
        <f>97600+103200+42587+28636+30785+135333</f>
        <v>438141</v>
      </c>
      <c r="C12" s="6">
        <f>100050</f>
        <v>100050</v>
      </c>
      <c r="D12" s="6"/>
      <c r="F12" s="11" t="s">
        <v>39</v>
      </c>
      <c r="G12" s="6">
        <f>135217+71775+30375+15400+28636+78740+1224000+19400</f>
        <v>1603543</v>
      </c>
      <c r="H12" s="6"/>
      <c r="I12" s="6"/>
      <c r="K12" s="11" t="s">
        <v>92</v>
      </c>
      <c r="L12" s="6">
        <f>38023+13206+127300+94050+10000+28980+30785+20400</f>
        <v>362744</v>
      </c>
      <c r="M12" s="6">
        <f>0</f>
        <v>0</v>
      </c>
      <c r="N12" s="6"/>
      <c r="P12" s="11" t="s">
        <v>112</v>
      </c>
      <c r="Q12" s="6">
        <f>0+47000+10000</f>
        <v>57000</v>
      </c>
      <c r="R12" s="6"/>
      <c r="S12" s="6"/>
    </row>
    <row r="13" spans="1:19" x14ac:dyDescent="0.2">
      <c r="A13" s="7" t="s">
        <v>5</v>
      </c>
      <c r="B13" s="8">
        <f>SUM(B3:B12)</f>
        <v>6525800</v>
      </c>
      <c r="C13" s="8">
        <f>SUM(C3:C12)</f>
        <v>290274</v>
      </c>
      <c r="D13" s="8">
        <f>SUM(B13:C13)</f>
        <v>6816074</v>
      </c>
      <c r="F13" s="7" t="s">
        <v>5</v>
      </c>
      <c r="G13" s="8">
        <f>SUM(G3:G12)</f>
        <v>11558596</v>
      </c>
      <c r="H13" s="8">
        <f>SUM(H3:H12)</f>
        <v>392610</v>
      </c>
      <c r="I13" s="8">
        <f>SUM(G13:H13)</f>
        <v>11951206</v>
      </c>
      <c r="K13" s="7" t="s">
        <v>5</v>
      </c>
      <c r="L13" s="8">
        <f>SUM(L3:L12)</f>
        <v>7933854</v>
      </c>
      <c r="M13" s="8">
        <f>SUM(M3:M12)</f>
        <v>1303246</v>
      </c>
      <c r="N13" s="8">
        <f>SUM(L13:M13)</f>
        <v>9237100</v>
      </c>
      <c r="P13" s="7" t="s">
        <v>5</v>
      </c>
      <c r="Q13" s="8">
        <f>SUM(Q3:Q12)</f>
        <v>5146566</v>
      </c>
      <c r="R13" s="8">
        <f>SUM(R3:R12)</f>
        <v>66714</v>
      </c>
      <c r="S13" s="8">
        <f>SUM(Q13:R13)</f>
        <v>5213280</v>
      </c>
    </row>
    <row r="14" spans="1:19" s="3" customFormat="1" ht="15" customHeight="1" x14ac:dyDescent="0.25">
      <c r="A14" s="1"/>
      <c r="B14" s="2"/>
      <c r="C14" s="1"/>
      <c r="D14" s="1"/>
    </row>
    <row r="15" spans="1:19" s="5" customFormat="1" x14ac:dyDescent="0.2">
      <c r="A15" s="16" t="s">
        <v>7</v>
      </c>
      <c r="B15" s="17"/>
      <c r="C15" s="17"/>
      <c r="D15" s="17"/>
      <c r="F15" s="16" t="s">
        <v>8</v>
      </c>
      <c r="G15" s="17"/>
      <c r="H15" s="17"/>
      <c r="I15" s="17"/>
      <c r="K15" s="16" t="s">
        <v>9</v>
      </c>
      <c r="L15" s="17"/>
      <c r="M15" s="17"/>
      <c r="N15" s="17"/>
      <c r="P15" s="16" t="s">
        <v>10</v>
      </c>
      <c r="Q15" s="17"/>
      <c r="R15" s="17"/>
      <c r="S15" s="17"/>
    </row>
    <row r="16" spans="1:19" s="12" customFormat="1" x14ac:dyDescent="0.2">
      <c r="A16" s="12" t="s">
        <v>0</v>
      </c>
      <c r="B16" s="12" t="s">
        <v>1</v>
      </c>
      <c r="C16" s="12" t="s">
        <v>2</v>
      </c>
      <c r="D16" s="12" t="s">
        <v>3</v>
      </c>
      <c r="F16" s="12" t="s">
        <v>0</v>
      </c>
      <c r="G16" s="12" t="s">
        <v>1</v>
      </c>
      <c r="H16" s="12" t="s">
        <v>2</v>
      </c>
      <c r="I16" s="12" t="s">
        <v>3</v>
      </c>
      <c r="K16" s="12" t="s">
        <v>0</v>
      </c>
      <c r="L16" s="12" t="s">
        <v>1</v>
      </c>
      <c r="M16" s="12" t="s">
        <v>2</v>
      </c>
      <c r="N16" s="12" t="s">
        <v>3</v>
      </c>
      <c r="P16" s="12" t="s">
        <v>0</v>
      </c>
      <c r="Q16" s="12" t="s">
        <v>1</v>
      </c>
      <c r="R16" s="12" t="s">
        <v>2</v>
      </c>
      <c r="S16" s="12" t="s">
        <v>3</v>
      </c>
    </row>
    <row r="17" spans="1:19" ht="13.5" x14ac:dyDescent="0.25">
      <c r="A17" s="11" t="s">
        <v>78</v>
      </c>
      <c r="B17" s="6">
        <f>76555+290400+127300+280000+68500+64068+167400+792000+110200+440000</f>
        <v>2416423</v>
      </c>
      <c r="C17" s="6">
        <f>30403</f>
        <v>30403</v>
      </c>
      <c r="D17" s="6"/>
      <c r="F17" s="11" t="s">
        <v>16</v>
      </c>
      <c r="G17" s="6">
        <f>94800+76000+421600+148500+38000</f>
        <v>778900</v>
      </c>
      <c r="H17" s="6"/>
      <c r="I17" s="6"/>
      <c r="K17" s="11" t="s">
        <v>109</v>
      </c>
      <c r="L17" s="6">
        <f>15479+21080+42601+168000+12426+14539</f>
        <v>274125</v>
      </c>
      <c r="M17" s="6"/>
      <c r="N17" s="6"/>
      <c r="P17" s="11" t="s">
        <v>114</v>
      </c>
      <c r="Q17" s="6">
        <f>0+28636</f>
        <v>28636</v>
      </c>
      <c r="R17" s="6">
        <f>17327</f>
        <v>17327</v>
      </c>
      <c r="S17" s="6"/>
    </row>
    <row r="18" spans="1:19" ht="13.5" x14ac:dyDescent="0.25">
      <c r="A18" s="11" t="s">
        <v>81</v>
      </c>
      <c r="B18" s="6">
        <f>38023+15467+13053+36766+13312+38000</f>
        <v>154621</v>
      </c>
      <c r="C18" s="6">
        <f>0</f>
        <v>0</v>
      </c>
      <c r="D18" s="6"/>
      <c r="F18" s="11" t="s">
        <v>72</v>
      </c>
      <c r="G18" s="6">
        <f>38023+14285+45400+11223+13454+220400</f>
        <v>342785</v>
      </c>
      <c r="H18" s="6">
        <f>0</f>
        <v>0</v>
      </c>
      <c r="I18" s="6"/>
      <c r="K18" s="11" t="s">
        <v>97</v>
      </c>
      <c r="L18" s="6">
        <f>13847+15773+14539+48000+10000</f>
        <v>102159</v>
      </c>
      <c r="M18" s="6"/>
      <c r="N18" s="6"/>
      <c r="P18" s="11" t="s">
        <v>53</v>
      </c>
      <c r="Q18" s="6">
        <f>205700+280000+15600+151250+148800+10000+55860+21500</f>
        <v>888710</v>
      </c>
      <c r="R18" s="6"/>
      <c r="S18" s="6"/>
    </row>
    <row r="19" spans="1:19" ht="13.5" x14ac:dyDescent="0.25">
      <c r="A19" s="11" t="s">
        <v>14</v>
      </c>
      <c r="B19" s="6">
        <f>18779+99000+68500+148200+148500+276000+197200+440000</f>
        <v>1396179</v>
      </c>
      <c r="C19" s="6"/>
      <c r="D19" s="6"/>
      <c r="F19" s="11" t="s">
        <v>60</v>
      </c>
      <c r="G19" s="6">
        <f>0+15600+131950+37952+13800</f>
        <v>199302</v>
      </c>
      <c r="H19" s="6">
        <f>22770</f>
        <v>22770</v>
      </c>
      <c r="I19" s="6"/>
      <c r="K19" s="11" t="s">
        <v>41</v>
      </c>
      <c r="L19" s="6">
        <f>135217+27900+48000+90667+148200+67167+66600+89976+240000</f>
        <v>913727</v>
      </c>
      <c r="M19" s="6">
        <f>207863</f>
        <v>207863</v>
      </c>
      <c r="N19" s="6"/>
      <c r="P19" s="11" t="s">
        <v>104</v>
      </c>
      <c r="Q19" s="6">
        <f>0+99000+90667+226300+14656+148500+52750</f>
        <v>631873</v>
      </c>
      <c r="R19" s="6"/>
      <c r="S19" s="6"/>
    </row>
    <row r="20" spans="1:19" ht="13.5" x14ac:dyDescent="0.25">
      <c r="A20" s="11" t="s">
        <v>62</v>
      </c>
      <c r="B20" s="6">
        <f>1116000+18499+57955+48000+57000+234000+23200</f>
        <v>1554654</v>
      </c>
      <c r="C20" s="6"/>
      <c r="D20" s="6"/>
      <c r="F20" s="11" t="s">
        <v>63</v>
      </c>
      <c r="G20" s="6">
        <f>190117+13206+127300+42587+136400+28160+23200+248200+38000</f>
        <v>847170</v>
      </c>
      <c r="H20" s="6"/>
      <c r="I20" s="6"/>
      <c r="K20" s="11" t="s">
        <v>96</v>
      </c>
      <c r="L20" s="6">
        <f>15479+63302+31540+18476+11222+14656+58157+14416+18900</f>
        <v>246148</v>
      </c>
      <c r="M20" s="6">
        <f>0</f>
        <v>0</v>
      </c>
      <c r="N20" s="6"/>
      <c r="P20" s="11" t="s">
        <v>107</v>
      </c>
      <c r="Q20" s="6">
        <f>0+42601+23940+78740+32960+11716</f>
        <v>189957</v>
      </c>
      <c r="R20" s="6">
        <f>262200</f>
        <v>262200</v>
      </c>
      <c r="S20" s="6"/>
    </row>
    <row r="21" spans="1:19" ht="13.5" x14ac:dyDescent="0.25">
      <c r="A21" s="11" t="s">
        <v>79</v>
      </c>
      <c r="B21" s="6">
        <f>14285+33031+48000+76000+23940+34200+13326+120750</f>
        <v>363532</v>
      </c>
      <c r="C21" s="6"/>
      <c r="D21" s="6"/>
      <c r="F21" s="11" t="s">
        <v>87</v>
      </c>
      <c r="G21" s="6">
        <f>63302+94800+94500+37588+125440+15335+17900</f>
        <v>448865</v>
      </c>
      <c r="H21" s="6"/>
      <c r="I21" s="6"/>
      <c r="K21" s="11" t="s">
        <v>43</v>
      </c>
      <c r="L21" s="6">
        <f>97600+80847+48000+94800+54500+669600+18374+10000+197200</f>
        <v>1270921</v>
      </c>
      <c r="M21" s="6">
        <f>43944</f>
        <v>43944</v>
      </c>
      <c r="N21" s="6"/>
      <c r="P21" s="11" t="s">
        <v>106</v>
      </c>
      <c r="Q21" s="6">
        <f>102300+71775+22200+94050+297600+36766+110200+58157</f>
        <v>793048</v>
      </c>
      <c r="R21" s="6"/>
      <c r="S21" s="6"/>
    </row>
    <row r="22" spans="1:19" ht="13.5" x14ac:dyDescent="0.25">
      <c r="A22" s="11" t="s">
        <v>22</v>
      </c>
      <c r="B22" s="6">
        <f>26840+63302+13869+11780+40106</f>
        <v>155897</v>
      </c>
      <c r="C22" s="6"/>
      <c r="D22" s="6"/>
      <c r="F22" s="11" t="s">
        <v>89</v>
      </c>
      <c r="G22" s="6">
        <f>0+71775+42601+94800+11229+545600+15801+73440+96000</f>
        <v>951246</v>
      </c>
      <c r="H22" s="6"/>
      <c r="I22" s="6"/>
      <c r="K22" s="11" t="s">
        <v>95</v>
      </c>
      <c r="L22" s="6">
        <f>0+63302+71775+49250+12032+10000+200100</f>
        <v>406459</v>
      </c>
      <c r="M22" s="6"/>
      <c r="N22" s="6"/>
      <c r="P22" s="11" t="s">
        <v>35</v>
      </c>
      <c r="Q22" s="6">
        <f>15479+29139+57955+64068+102300+37952+158700+30785+69500</f>
        <v>565878</v>
      </c>
      <c r="R22" s="6"/>
      <c r="S22" s="6"/>
    </row>
    <row r="23" spans="1:19" ht="13.5" x14ac:dyDescent="0.25">
      <c r="A23" s="11" t="s">
        <v>33</v>
      </c>
      <c r="B23" s="6">
        <f>1098000+18779+48000+10000+20800</f>
        <v>1195579</v>
      </c>
      <c r="C23" s="6"/>
      <c r="D23" s="6"/>
      <c r="F23" s="11" t="s">
        <v>90</v>
      </c>
      <c r="G23" s="6">
        <f>33480+11742+14012+331200</f>
        <v>390434</v>
      </c>
      <c r="H23" s="6"/>
      <c r="I23" s="6"/>
      <c r="K23" s="11" t="s">
        <v>42</v>
      </c>
      <c r="L23" s="6">
        <f>15773+39050+448000+13826+186240+22000</f>
        <v>724889</v>
      </c>
      <c r="M23" s="6">
        <f>64055</f>
        <v>64055</v>
      </c>
      <c r="N23" s="6"/>
      <c r="P23" s="11" t="s">
        <v>111</v>
      </c>
      <c r="Q23" s="6">
        <f>14285+48000+49250+55800+55680+89976+1800000</f>
        <v>2112991</v>
      </c>
      <c r="R23" s="6">
        <f>43944</f>
        <v>43944</v>
      </c>
      <c r="S23" s="6"/>
    </row>
    <row r="24" spans="1:19" ht="13.5" x14ac:dyDescent="0.25">
      <c r="A24" s="11" t="s">
        <v>80</v>
      </c>
      <c r="B24" s="6">
        <f>38023+13320+13020+14208+148500+12644+58157+38000</f>
        <v>335872</v>
      </c>
      <c r="C24" s="6"/>
      <c r="D24" s="6"/>
      <c r="F24" s="11" t="s">
        <v>88</v>
      </c>
      <c r="G24" s="6">
        <f>0+13826+18374+12238+24073</f>
        <v>68511</v>
      </c>
      <c r="H24" s="6"/>
      <c r="I24" s="6"/>
      <c r="K24" s="11" t="s">
        <v>115</v>
      </c>
      <c r="L24" s="6">
        <f>40300+15467+42420+42587+186000+37952+75632</f>
        <v>440358</v>
      </c>
      <c r="M24" s="6">
        <f>13110</f>
        <v>13110</v>
      </c>
      <c r="N24" s="6"/>
      <c r="P24" s="11" t="s">
        <v>73</v>
      </c>
      <c r="Q24" s="6">
        <f>63302+71775+8015+12426+78740+13760+158700+13872</f>
        <v>420590</v>
      </c>
      <c r="R24" s="6"/>
      <c r="S24" s="6"/>
    </row>
    <row r="25" spans="1:19" ht="13.5" x14ac:dyDescent="0.25">
      <c r="A25" s="11" t="s">
        <v>118</v>
      </c>
      <c r="B25" s="6">
        <f>168000+12426+11966+110200+98600+18400</f>
        <v>419592</v>
      </c>
      <c r="C25" s="6"/>
      <c r="D25" s="6"/>
      <c r="F25" s="11" t="s">
        <v>31</v>
      </c>
      <c r="G25" s="6">
        <f>13176+40300+48000+45400+27972+12648</f>
        <v>187496</v>
      </c>
      <c r="H25" s="6"/>
      <c r="I25" s="6"/>
      <c r="K25" s="11" t="s">
        <v>124</v>
      </c>
      <c r="L25" s="6">
        <f>54290+26130+45400+10146+37588+13020+234000</f>
        <v>420574</v>
      </c>
      <c r="M25" s="6"/>
      <c r="N25" s="6"/>
      <c r="P25" s="11" t="s">
        <v>105</v>
      </c>
      <c r="Q25" s="6">
        <f>63302+116600+99000+45400+1530000+14539+10000+15335</f>
        <v>1894176</v>
      </c>
      <c r="R25" s="6"/>
      <c r="S25" s="6"/>
    </row>
    <row r="26" spans="1:19" ht="13.5" x14ac:dyDescent="0.25">
      <c r="A26" s="11" t="s">
        <v>46</v>
      </c>
      <c r="B26" s="6">
        <f>6730+9975+10000+23200</f>
        <v>49905</v>
      </c>
      <c r="C26" s="6">
        <f>0</f>
        <v>0</v>
      </c>
      <c r="D26" s="6"/>
      <c r="F26" s="11" t="s">
        <v>61</v>
      </c>
      <c r="G26" s="6">
        <f>0+630000+45400+60500+230400+342000+28980+18400</f>
        <v>1355680</v>
      </c>
      <c r="H26" s="6"/>
      <c r="I26" s="6"/>
      <c r="K26" s="11" t="s">
        <v>15</v>
      </c>
      <c r="L26" s="6">
        <f>167400+13199+148000+57000+13760+10000+28980</f>
        <v>438339</v>
      </c>
      <c r="M26" s="6"/>
      <c r="N26" s="6"/>
      <c r="P26" s="11" t="s">
        <v>20</v>
      </c>
      <c r="Q26" s="6">
        <f>48000+30375+90667+18476+200725+10000+12644+120750+69500</f>
        <v>601137</v>
      </c>
      <c r="R26" s="6"/>
      <c r="S26" s="6"/>
    </row>
    <row r="27" spans="1:19" x14ac:dyDescent="0.2">
      <c r="A27" s="7" t="s">
        <v>5</v>
      </c>
      <c r="B27" s="8">
        <f>SUM(B17:B26)</f>
        <v>8042254</v>
      </c>
      <c r="C27" s="8">
        <f>SUM(C17:C26)</f>
        <v>30403</v>
      </c>
      <c r="D27" s="8">
        <f>SUM(B27:C27)</f>
        <v>8072657</v>
      </c>
      <c r="F27" s="7" t="s">
        <v>5</v>
      </c>
      <c r="G27" s="8">
        <f>SUM(G17:G26)</f>
        <v>5570389</v>
      </c>
      <c r="H27" s="8">
        <f>SUM(H17:H26)</f>
        <v>22770</v>
      </c>
      <c r="I27" s="8">
        <f>SUM(G27:H27)</f>
        <v>5593159</v>
      </c>
      <c r="K27" s="7" t="s">
        <v>5</v>
      </c>
      <c r="L27" s="8">
        <f>SUM(L17:L26)</f>
        <v>5237699</v>
      </c>
      <c r="M27" s="8">
        <f>SUM(M17:M26)</f>
        <v>328972</v>
      </c>
      <c r="N27" s="8">
        <f>SUM(L27:M27)</f>
        <v>5566671</v>
      </c>
      <c r="P27" s="7" t="s">
        <v>5</v>
      </c>
      <c r="Q27" s="8">
        <f>SUM(Q17:Q26)</f>
        <v>8126996</v>
      </c>
      <c r="R27" s="8">
        <f>SUM(R17:R26)</f>
        <v>323471</v>
      </c>
      <c r="S27" s="8">
        <f>SUM(Q27:R27)</f>
        <v>8450467</v>
      </c>
    </row>
    <row r="29" spans="1:19" s="5" customFormat="1" x14ac:dyDescent="0.2">
      <c r="A29" s="16" t="s">
        <v>6</v>
      </c>
      <c r="B29" s="17"/>
      <c r="C29" s="17"/>
      <c r="D29" s="17"/>
      <c r="F29" s="16" t="s">
        <v>4</v>
      </c>
      <c r="G29" s="17"/>
      <c r="H29" s="17"/>
      <c r="I29" s="17"/>
      <c r="K29" s="16" t="s">
        <v>76</v>
      </c>
      <c r="L29" s="17"/>
      <c r="M29" s="17"/>
      <c r="N29" s="17"/>
      <c r="P29" s="5" t="s">
        <v>139</v>
      </c>
      <c r="Q29" s="5" t="s">
        <v>137</v>
      </c>
      <c r="R29" s="5" t="s">
        <v>138</v>
      </c>
    </row>
    <row r="30" spans="1:19" s="12" customFormat="1" x14ac:dyDescent="0.2">
      <c r="A30" s="12" t="s">
        <v>0</v>
      </c>
      <c r="B30" s="12" t="s">
        <v>1</v>
      </c>
      <c r="C30" s="12" t="s">
        <v>2</v>
      </c>
      <c r="D30" s="12" t="s">
        <v>3</v>
      </c>
      <c r="F30" s="12" t="s">
        <v>0</v>
      </c>
      <c r="G30" s="12" t="s">
        <v>1</v>
      </c>
      <c r="H30" s="12" t="s">
        <v>2</v>
      </c>
      <c r="I30" s="12" t="s">
        <v>3</v>
      </c>
      <c r="K30" s="12" t="s">
        <v>0</v>
      </c>
      <c r="L30" s="12" t="s">
        <v>1</v>
      </c>
      <c r="M30" s="12" t="s">
        <v>2</v>
      </c>
      <c r="N30" s="12" t="s">
        <v>3</v>
      </c>
      <c r="P30" s="15" t="s">
        <v>126</v>
      </c>
      <c r="Q30" s="15" t="s">
        <v>140</v>
      </c>
      <c r="R30" s="15" t="s">
        <v>141</v>
      </c>
    </row>
    <row r="31" spans="1:19" ht="13.5" x14ac:dyDescent="0.25">
      <c r="A31" s="11" t="s">
        <v>48</v>
      </c>
      <c r="B31" s="6">
        <f>18499+21306+28980+149600</f>
        <v>218385</v>
      </c>
      <c r="C31" s="6">
        <f>0</f>
        <v>0</v>
      </c>
      <c r="D31" s="6"/>
      <c r="F31" s="11" t="s">
        <v>71</v>
      </c>
      <c r="G31" s="6">
        <f>13206+18499+10431+13826+18374+11716</f>
        <v>86052</v>
      </c>
      <c r="H31" s="6">
        <f>15663</f>
        <v>15663</v>
      </c>
      <c r="I31" s="6"/>
      <c r="K31" s="11" t="s">
        <v>99</v>
      </c>
      <c r="L31" s="6">
        <f>0+15467+18374+10000+40106+38000</f>
        <v>121947</v>
      </c>
      <c r="M31" s="6">
        <f>15180</f>
        <v>15180</v>
      </c>
      <c r="N31" s="6"/>
      <c r="P31" s="15" t="s">
        <v>127</v>
      </c>
      <c r="Q31" s="15" t="s">
        <v>141</v>
      </c>
      <c r="R31" s="15" t="s">
        <v>144</v>
      </c>
    </row>
    <row r="32" spans="1:19" ht="13.5" x14ac:dyDescent="0.25">
      <c r="A32" s="11" t="s">
        <v>52</v>
      </c>
      <c r="B32" s="6">
        <f>580800+723600+48000+395000+10000+22000</f>
        <v>1779400</v>
      </c>
      <c r="C32" s="6">
        <f>207863</f>
        <v>207863</v>
      </c>
      <c r="D32" s="6"/>
      <c r="F32" s="11" t="s">
        <v>38</v>
      </c>
      <c r="G32" s="6">
        <f>268000+99000+151250+77568+10000+110200+24073</f>
        <v>740091</v>
      </c>
      <c r="H32" s="6">
        <f>146280</f>
        <v>146280</v>
      </c>
      <c r="I32" s="6"/>
      <c r="K32" s="11" t="s">
        <v>23</v>
      </c>
      <c r="L32" s="6">
        <f>12383+21080+13534+12120+31540+18374</f>
        <v>109031</v>
      </c>
      <c r="M32" s="6">
        <f>30403</f>
        <v>30403</v>
      </c>
      <c r="N32" s="6"/>
      <c r="P32" s="15" t="s">
        <v>128</v>
      </c>
      <c r="Q32" s="15" t="s">
        <v>142</v>
      </c>
      <c r="R32" s="15" t="s">
        <v>140</v>
      </c>
    </row>
    <row r="33" spans="1:18" ht="13.5" x14ac:dyDescent="0.25">
      <c r="A33" s="11" t="s">
        <v>83</v>
      </c>
      <c r="B33" s="6">
        <f>77568+10000+44200</f>
        <v>131768</v>
      </c>
      <c r="C33" s="6">
        <f>207863</f>
        <v>207863</v>
      </c>
      <c r="D33" s="6"/>
      <c r="F33" s="11" t="s">
        <v>59</v>
      </c>
      <c r="G33" s="6">
        <f>26840+207700+13680+94050+28636+13326+89976+30785</f>
        <v>504993</v>
      </c>
      <c r="H33" s="6">
        <f>400200</f>
        <v>400200</v>
      </c>
      <c r="I33" s="6"/>
      <c r="K33" s="11" t="s">
        <v>27</v>
      </c>
      <c r="L33" s="6">
        <f>20740+33480+57955+99000+248333+94050+28160+101160+20861+69500</f>
        <v>773239</v>
      </c>
      <c r="M33" s="6"/>
      <c r="N33" s="6"/>
      <c r="P33" s="15" t="s">
        <v>129</v>
      </c>
      <c r="Q33" s="15" t="s">
        <v>143</v>
      </c>
      <c r="R33" s="15" t="s">
        <v>145</v>
      </c>
    </row>
    <row r="34" spans="1:18" ht="13.5" x14ac:dyDescent="0.25">
      <c r="A34" s="11" t="s">
        <v>84</v>
      </c>
      <c r="B34" s="6">
        <f>97600+272800+57955+99000+68500+10000+28980+96000</f>
        <v>730835</v>
      </c>
      <c r="C34" s="6"/>
      <c r="D34" s="6"/>
      <c r="F34" s="11" t="s">
        <v>18</v>
      </c>
      <c r="G34" s="6">
        <f>40300+42601+136400+43790+120750+11696+20200</f>
        <v>415737</v>
      </c>
      <c r="H34" s="6"/>
      <c r="I34" s="6"/>
      <c r="K34" s="11" t="s">
        <v>98</v>
      </c>
      <c r="L34" s="6">
        <f>0+48000+22200+9804+10000+13326+44200</f>
        <v>147530</v>
      </c>
      <c r="M34" s="6">
        <f>262200</f>
        <v>262200</v>
      </c>
      <c r="N34" s="6"/>
      <c r="P34" s="15" t="s">
        <v>130</v>
      </c>
      <c r="Q34" s="15" t="s">
        <v>144</v>
      </c>
      <c r="R34" s="15" t="s">
        <v>149</v>
      </c>
    </row>
    <row r="35" spans="1:18" ht="13.5" x14ac:dyDescent="0.25">
      <c r="A35" s="9" t="s">
        <v>82</v>
      </c>
      <c r="B35" s="6">
        <f>13869+148000+151250+94050+10000+24073</f>
        <v>441242</v>
      </c>
      <c r="C35" s="6">
        <f>17327</f>
        <v>17327</v>
      </c>
      <c r="D35" s="6"/>
      <c r="F35" s="11" t="s">
        <v>45</v>
      </c>
      <c r="G35" s="6">
        <f>29139+57955+280000+47000+64068+200725+148500+187050+745200+1080000</f>
        <v>2839637</v>
      </c>
      <c r="H35" s="6"/>
      <c r="I35" s="6"/>
      <c r="K35" s="11" t="s">
        <v>100</v>
      </c>
      <c r="L35" s="6">
        <f>0+14285+12660+51000+28572+28160+40500+239775+20000</f>
        <v>434952</v>
      </c>
      <c r="M35" s="6">
        <f>43944</f>
        <v>43944</v>
      </c>
      <c r="N35" s="6"/>
      <c r="P35" s="15" t="s">
        <v>131</v>
      </c>
      <c r="Q35" s="15" t="s">
        <v>148</v>
      </c>
      <c r="R35" s="15" t="s">
        <v>146</v>
      </c>
    </row>
    <row r="36" spans="1:18" ht="13.5" x14ac:dyDescent="0.25">
      <c r="A36" s="11" t="s">
        <v>47</v>
      </c>
      <c r="B36" s="6">
        <f>12300+28160+326400+17600</f>
        <v>384460</v>
      </c>
      <c r="C36" s="6">
        <f>0</f>
        <v>0</v>
      </c>
      <c r="D36" s="6"/>
      <c r="F36" s="11" t="s">
        <v>68</v>
      </c>
      <c r="G36" s="6">
        <f>366000+14539+48000+11742+37588+10000+96000</f>
        <v>583869</v>
      </c>
      <c r="H36" s="6">
        <f>400200</f>
        <v>400200</v>
      </c>
      <c r="I36" s="6"/>
      <c r="K36" s="11" t="s">
        <v>113</v>
      </c>
      <c r="L36" s="6">
        <f>0+26130+13320+42587+78740+14208+187050+14352</f>
        <v>376387</v>
      </c>
      <c r="M36" s="6">
        <f>43944</f>
        <v>43944</v>
      </c>
      <c r="N36" s="6"/>
      <c r="P36" s="15" t="s">
        <v>132</v>
      </c>
      <c r="Q36" s="15" t="s">
        <v>145</v>
      </c>
      <c r="R36" s="15" t="s">
        <v>142</v>
      </c>
    </row>
    <row r="37" spans="1:18" ht="13.5" x14ac:dyDescent="0.25">
      <c r="A37" s="11" t="s">
        <v>85</v>
      </c>
      <c r="B37" s="6">
        <f>0+13206+13200+12710+22000</f>
        <v>61116</v>
      </c>
      <c r="C37" s="6">
        <f>0</f>
        <v>0</v>
      </c>
      <c r="D37" s="6"/>
      <c r="F37" s="11" t="s">
        <v>50</v>
      </c>
      <c r="G37" s="6">
        <f>27900+216913+45400+148200+1116000+10000+110200</f>
        <v>1674613</v>
      </c>
      <c r="H37" s="6"/>
      <c r="I37" s="6"/>
      <c r="K37" s="11" t="s">
        <v>49</v>
      </c>
      <c r="L37" s="6">
        <f>0+63302+7665+13312+13056+18400</f>
        <v>115735</v>
      </c>
      <c r="M37" s="6">
        <f>0</f>
        <v>0</v>
      </c>
      <c r="N37" s="6"/>
      <c r="P37" s="15" t="s">
        <v>133</v>
      </c>
      <c r="Q37" s="15" t="s">
        <v>146</v>
      </c>
      <c r="R37" s="15" t="s">
        <v>150</v>
      </c>
    </row>
    <row r="38" spans="1:18" ht="13.5" x14ac:dyDescent="0.25">
      <c r="A38" s="11" t="s">
        <v>67</v>
      </c>
      <c r="B38" s="6">
        <f>0+45880+14076</f>
        <v>59956</v>
      </c>
      <c r="C38" s="6">
        <f>12282</f>
        <v>12282</v>
      </c>
      <c r="D38" s="6"/>
      <c r="F38" s="11" t="s">
        <v>30</v>
      </c>
      <c r="G38" s="6">
        <f>0+148000+110000+23940+272800+691200+342000+1044000+135333</f>
        <v>2767273</v>
      </c>
      <c r="H38" s="6">
        <f>207863</f>
        <v>207863</v>
      </c>
      <c r="I38" s="6"/>
      <c r="K38" s="11" t="s">
        <v>57</v>
      </c>
      <c r="L38" s="6">
        <f>366000+21080+127300+15892+13454+48600+34469+187500</f>
        <v>814295</v>
      </c>
      <c r="M38" s="6"/>
      <c r="N38" s="6"/>
      <c r="P38" s="15" t="s">
        <v>134</v>
      </c>
      <c r="Q38" s="15" t="s">
        <v>147</v>
      </c>
      <c r="R38" s="15" t="s">
        <v>148</v>
      </c>
    </row>
    <row r="39" spans="1:18" ht="13.5" x14ac:dyDescent="0.25">
      <c r="A39" s="11" t="s">
        <v>25</v>
      </c>
      <c r="B39" s="6">
        <f>48000+168000+76000+235600+50651+10000+626400+38000</f>
        <v>1252651</v>
      </c>
      <c r="C39" s="6"/>
      <c r="D39" s="6"/>
      <c r="F39" s="11" t="s">
        <v>91</v>
      </c>
      <c r="G39" s="6">
        <f>366000+155000+205700+12730+15892+12772+136400+75632+20861+24073</f>
        <v>1025060</v>
      </c>
      <c r="H39" s="6"/>
      <c r="I39" s="6"/>
      <c r="K39" s="11" t="s">
        <v>32</v>
      </c>
      <c r="L39" s="6">
        <f>0+148000+168000+90667+435200+10000+680000</f>
        <v>1531867</v>
      </c>
      <c r="M39" s="6"/>
      <c r="N39" s="6"/>
      <c r="P39" s="15" t="s">
        <v>135</v>
      </c>
      <c r="Q39" s="15" t="s">
        <v>149</v>
      </c>
      <c r="R39" s="15" t="s">
        <v>147</v>
      </c>
    </row>
    <row r="40" spans="1:18" ht="13.5" x14ac:dyDescent="0.25">
      <c r="A40" s="11" t="s">
        <v>125</v>
      </c>
      <c r="B40" s="6">
        <f>0+14256+14656+432000</f>
        <v>460912</v>
      </c>
      <c r="C40" s="6"/>
      <c r="D40" s="6"/>
      <c r="F40" s="11" t="s">
        <v>117</v>
      </c>
      <c r="G40" s="6">
        <f>0+15477+208500+235600+18476+545600</f>
        <v>1023653</v>
      </c>
      <c r="H40" s="6"/>
      <c r="I40" s="6"/>
      <c r="K40" s="11" t="s">
        <v>44</v>
      </c>
      <c r="L40" s="6">
        <f>48000+50000+50651+55800+187500</f>
        <v>391951</v>
      </c>
      <c r="M40" s="6"/>
      <c r="N40" s="6"/>
      <c r="P40" s="15" t="s">
        <v>136</v>
      </c>
      <c r="Q40" s="15" t="s">
        <v>150</v>
      </c>
      <c r="R40" s="15" t="s">
        <v>143</v>
      </c>
    </row>
    <row r="41" spans="1:18" x14ac:dyDescent="0.2">
      <c r="A41" s="7" t="s">
        <v>5</v>
      </c>
      <c r="B41" s="8">
        <f>SUM(B31:B40)</f>
        <v>5520725</v>
      </c>
      <c r="C41" s="8">
        <f>SUM(C31:C40)</f>
        <v>445335</v>
      </c>
      <c r="D41" s="8">
        <f>SUM(B41:C41)</f>
        <v>5966060</v>
      </c>
      <c r="F41" s="7" t="s">
        <v>5</v>
      </c>
      <c r="G41" s="8">
        <f>SUM(G31:G40)</f>
        <v>11660978</v>
      </c>
      <c r="H41" s="8">
        <f>SUM(H31:H40)</f>
        <v>1170206</v>
      </c>
      <c r="I41" s="8">
        <f>SUM(G41:H41)</f>
        <v>12831184</v>
      </c>
      <c r="K41" s="7" t="s">
        <v>5</v>
      </c>
      <c r="L41" s="8">
        <f>SUM(L31:L40)</f>
        <v>4816934</v>
      </c>
      <c r="M41" s="8">
        <f>SUM(M31:M40)</f>
        <v>395671</v>
      </c>
      <c r="N41" s="8">
        <f>SUM(L41:M41)</f>
        <v>5212605</v>
      </c>
    </row>
  </sheetData>
  <sortState ref="P3:Q12">
    <sortCondition ref="P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B35" sqref="B35"/>
    </sheetView>
  </sheetViews>
  <sheetFormatPr defaultRowHeight="15" x14ac:dyDescent="0.25"/>
  <cols>
    <col min="1" max="1" width="22" bestFit="1" customWidth="1"/>
    <col min="2" max="2" width="22" customWidth="1"/>
    <col min="3" max="3" width="25.42578125" style="10" customWidth="1"/>
  </cols>
  <sheetData>
    <row r="1" spans="1:2" x14ac:dyDescent="0.25">
      <c r="A1" s="9"/>
      <c r="B1" s="9"/>
    </row>
    <row r="2" spans="1:2" x14ac:dyDescent="0.25">
      <c r="A2" s="9"/>
      <c r="B2" s="9"/>
    </row>
    <row r="3" spans="1:2" x14ac:dyDescent="0.25">
      <c r="A3" s="9"/>
      <c r="B3" s="9"/>
    </row>
    <row r="4" spans="1:2" x14ac:dyDescent="0.25">
      <c r="A4" s="9"/>
      <c r="B4" s="9"/>
    </row>
    <row r="5" spans="1:2" x14ac:dyDescent="0.25">
      <c r="A5" s="9"/>
      <c r="B5" s="9"/>
    </row>
    <row r="6" spans="1:2" x14ac:dyDescent="0.25">
      <c r="A6" s="9"/>
      <c r="B6" s="9"/>
    </row>
    <row r="7" spans="1:2" x14ac:dyDescent="0.25">
      <c r="A7" s="9"/>
      <c r="B7" s="9"/>
    </row>
    <row r="8" spans="1:2" x14ac:dyDescent="0.25">
      <c r="A8" s="9"/>
      <c r="B8" s="9"/>
    </row>
    <row r="9" spans="1:2" x14ac:dyDescent="0.25">
      <c r="A9" s="9"/>
      <c r="B9" s="9"/>
    </row>
    <row r="10" spans="1:2" x14ac:dyDescent="0.25">
      <c r="A10" s="9"/>
      <c r="B10" s="9"/>
    </row>
    <row r="11" spans="1:2" x14ac:dyDescent="0.25">
      <c r="A11" s="9"/>
      <c r="B11" s="9"/>
    </row>
    <row r="12" spans="1:2" x14ac:dyDescent="0.25">
      <c r="A12" s="9"/>
      <c r="B12" s="9"/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  <row r="41" spans="1:2" x14ac:dyDescent="0.25">
      <c r="A41" s="9"/>
      <c r="B41" s="9"/>
    </row>
    <row r="42" spans="1:2" x14ac:dyDescent="0.25">
      <c r="A42" s="9"/>
      <c r="B42" s="9"/>
    </row>
    <row r="43" spans="1:2" x14ac:dyDescent="0.25">
      <c r="A43" s="9"/>
      <c r="B43" s="9"/>
    </row>
    <row r="44" spans="1:2" x14ac:dyDescent="0.25">
      <c r="A44" s="9"/>
      <c r="B44" s="9"/>
    </row>
    <row r="45" spans="1:2" x14ac:dyDescent="0.25">
      <c r="A45" s="9"/>
      <c r="B45" s="9"/>
    </row>
    <row r="46" spans="1:2" x14ac:dyDescent="0.25">
      <c r="A46" s="9"/>
      <c r="B46" s="9"/>
    </row>
    <row r="47" spans="1:2" x14ac:dyDescent="0.25">
      <c r="A47" s="9"/>
      <c r="B47" s="9"/>
    </row>
    <row r="48" spans="1:2" x14ac:dyDescent="0.25">
      <c r="A48" s="9"/>
      <c r="B48" s="9"/>
    </row>
    <row r="49" spans="1:2" x14ac:dyDescent="0.25">
      <c r="A49" s="9"/>
      <c r="B49" s="9"/>
    </row>
    <row r="50" spans="1:2" x14ac:dyDescent="0.25">
      <c r="A50" s="9"/>
      <c r="B50" s="9"/>
    </row>
    <row r="51" spans="1:2" x14ac:dyDescent="0.25">
      <c r="A51" s="9"/>
      <c r="B51" s="9"/>
    </row>
    <row r="52" spans="1:2" x14ac:dyDescent="0.25">
      <c r="A52" s="9"/>
      <c r="B52" s="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  <row r="56" spans="1:2" x14ac:dyDescent="0.25">
      <c r="A56" s="9"/>
      <c r="B56" s="9"/>
    </row>
    <row r="57" spans="1:2" x14ac:dyDescent="0.25">
      <c r="A57" s="9"/>
      <c r="B57" s="9"/>
    </row>
    <row r="58" spans="1:2" x14ac:dyDescent="0.25">
      <c r="A58" s="9"/>
      <c r="B58" s="9"/>
    </row>
    <row r="59" spans="1:2" x14ac:dyDescent="0.25">
      <c r="A59" s="9"/>
      <c r="B59" s="9"/>
    </row>
    <row r="60" spans="1:2" x14ac:dyDescent="0.25">
      <c r="A60" s="9"/>
      <c r="B60" s="9"/>
    </row>
    <row r="61" spans="1:2" x14ac:dyDescent="0.25">
      <c r="A61" s="9"/>
      <c r="B61" s="9"/>
    </row>
    <row r="62" spans="1:2" x14ac:dyDescent="0.25">
      <c r="A62" s="9"/>
      <c r="B62" s="9"/>
    </row>
    <row r="63" spans="1:2" x14ac:dyDescent="0.25">
      <c r="A63" s="9"/>
      <c r="B63" s="9"/>
    </row>
    <row r="64" spans="1:2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  <row r="88" spans="1:2" x14ac:dyDescent="0.25">
      <c r="A88" s="9"/>
      <c r="B88" s="9"/>
    </row>
    <row r="89" spans="1:2" x14ac:dyDescent="0.25">
      <c r="A89" s="9"/>
      <c r="B89" s="9"/>
    </row>
    <row r="90" spans="1:2" x14ac:dyDescent="0.25">
      <c r="A90" s="9"/>
      <c r="B90" s="9"/>
    </row>
    <row r="91" spans="1:2" x14ac:dyDescent="0.25">
      <c r="A91" s="9"/>
      <c r="B91" s="9"/>
    </row>
    <row r="92" spans="1:2" x14ac:dyDescent="0.25">
      <c r="A92" s="9"/>
      <c r="B92" s="9"/>
    </row>
    <row r="93" spans="1:2" x14ac:dyDescent="0.25">
      <c r="A93" s="9"/>
      <c r="B93" s="9"/>
    </row>
    <row r="94" spans="1:2" x14ac:dyDescent="0.25">
      <c r="A94" s="9"/>
      <c r="B94" s="9"/>
    </row>
    <row r="95" spans="1:2" x14ac:dyDescent="0.25">
      <c r="A95" s="9"/>
      <c r="B95" s="9"/>
    </row>
    <row r="96" spans="1:2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</sheetData>
  <sortState ref="C1:C100">
    <sortCondition ref="C10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AddDrop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Summers</dc:creator>
  <cp:lastModifiedBy>Marc Summers</cp:lastModifiedBy>
  <cp:lastPrinted>2013-04-15T12:51:25Z</cp:lastPrinted>
  <dcterms:created xsi:type="dcterms:W3CDTF">2013-01-08T20:01:50Z</dcterms:created>
  <dcterms:modified xsi:type="dcterms:W3CDTF">2014-05-19T13:28:21Z</dcterms:modified>
</cp:coreProperties>
</file>